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233" activeTab="0"/>
  </bookViews>
  <sheets>
    <sheet name="Exploitation locative" sheetId="1" r:id="rId1"/>
  </sheets>
  <definedNames>
    <definedName name="_xlnm.Print_Area" localSheetId="0">'Exploitation locative'!$A$1:$U$46</definedName>
  </definedNames>
  <calcPr fullCalcOnLoad="1"/>
</workbook>
</file>

<file path=xl/sharedStrings.xml><?xml version="1.0" encoding="utf-8"?>
<sst xmlns="http://schemas.openxmlformats.org/spreadsheetml/2006/main" count="63" uniqueCount="63">
  <si>
    <t>1. Données et hypothèses à saisir</t>
  </si>
  <si>
    <t>Progression des loyers</t>
  </si>
  <si>
    <t>Progression des charges hors taxe foncière</t>
  </si>
  <si>
    <t>Année d'imposition à la taxe foncière</t>
  </si>
  <si>
    <t>Progression de la taxe foncière</t>
  </si>
  <si>
    <t>Nombre de logements</t>
  </si>
  <si>
    <t>Taux de vacance</t>
  </si>
  <si>
    <t>Taux d'impayés</t>
  </si>
  <si>
    <t>Tarif des loyers au m2 de surface utile</t>
  </si>
  <si>
    <t>Taux de charges récupérables sur loyers</t>
  </si>
  <si>
    <t>2. Prévisions d'exploitation</t>
  </si>
  <si>
    <t>Loyers</t>
  </si>
  <si>
    <t>Vacance sur loyers</t>
  </si>
  <si>
    <t>Impayés sur loyers</t>
  </si>
  <si>
    <t>Pertes sur charges récupérables</t>
  </si>
  <si>
    <t>Total revenu locatif</t>
  </si>
  <si>
    <t>Entretien non récupérable</t>
  </si>
  <si>
    <t>Grosses réparations</t>
  </si>
  <si>
    <t>Taxe foncière</t>
  </si>
  <si>
    <t>Frais de gestion</t>
  </si>
  <si>
    <t>Total des charges</t>
  </si>
  <si>
    <t>zones de saisies obligatoires</t>
  </si>
  <si>
    <t>et, normalement, ça fonctionne (on l'espère…)</t>
  </si>
  <si>
    <t>Année de livraison</t>
  </si>
  <si>
    <t>Autofinancement net</t>
  </si>
  <si>
    <t>Annuité d'emprunt</t>
  </si>
  <si>
    <t>Surface utile totale (en m2)</t>
  </si>
  <si>
    <t>Prêt PEEC</t>
  </si>
  <si>
    <t>Subventions</t>
  </si>
  <si>
    <t>Fonds propres</t>
  </si>
  <si>
    <t>Total du coût de revient</t>
  </si>
  <si>
    <t>durée</t>
  </si>
  <si>
    <t>taux</t>
  </si>
  <si>
    <t>nominal</t>
  </si>
  <si>
    <t>financement</t>
  </si>
  <si>
    <t>Taux des grosses réparations</t>
  </si>
  <si>
    <t>Taux des produits financiers (livret A)</t>
  </si>
  <si>
    <t>Produits financiers</t>
  </si>
  <si>
    <t>Cumul trésorerie</t>
  </si>
  <si>
    <t>Coefficient de structure</t>
  </si>
  <si>
    <t>entrez les noms de l'opération et du maître d'ouvrage</t>
  </si>
  <si>
    <t>différé</t>
  </si>
  <si>
    <t xml:space="preserve">Mode d'emploi : </t>
  </si>
  <si>
    <t>entretien</t>
  </si>
  <si>
    <t>taxe foncière</t>
  </si>
  <si>
    <t>frais de gestion</t>
  </si>
  <si>
    <t>grosses réparations</t>
  </si>
  <si>
    <t>simul. :</t>
  </si>
  <si>
    <t xml:space="preserve">pour : </t>
  </si>
  <si>
    <t>Prêt principal</t>
  </si>
  <si>
    <t>Entretien non récupérable (€ au logement par an)</t>
  </si>
  <si>
    <t>Taxe foncière au logement (€ au logement par an)</t>
  </si>
  <si>
    <t>Frais de gestion (€ au logement par an)</t>
  </si>
  <si>
    <t>Grosses réparations (€ au logement par an)</t>
  </si>
  <si>
    <t>Utilité :</t>
  </si>
  <si>
    <t>établir des prévisions d'exploitation pour le logement social, notamment lorsqu'il faut le faire au montage de l'opération</t>
  </si>
  <si>
    <t>ÉVALUATION PRÉVISIONNELLE D'UNE OPÉRATION LOCATIVE SOCIALE</t>
  </si>
  <si>
    <t>s.a.r.l. au capital de 45.000 €, d’expertise comptable et de commissariat aux comptes • région Paris et Île-de-France • R.C.S. de Paris • S.I.R.E.N.E. : 394.245.443 •</t>
  </si>
  <si>
    <t>44bis, rue Pasquier - 75008 Paris • téléphone : 01.42.93.35.25 • télécopie : 01.42.93.35.28 • mél : courrier@cabinet-comptes.com ; site : www.cabinet-comptes.com •</t>
  </si>
  <si>
    <t>outil mis à disposition de tous sur "www.cabinet-comptes.com" : ne pas nous en reprocher votre usage…</t>
  </si>
  <si>
    <t>statist.2001 : €/an/lgt</t>
  </si>
  <si>
    <t>SEML</t>
  </si>
  <si>
    <t>SA HLM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</si>
</sst>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%"/>
    <numFmt numFmtId="173" formatCode="0.0"/>
    <numFmt numFmtId="174" formatCode="_ * #,##0_)&quot; F&quot;_ ;_ * \(#,##0\)&quot; F&quot;_ ;_ * &quot;-&quot;_)&quot; F&quot;_ ;_ @_ "/>
    <numFmt numFmtId="175" formatCode="_ * #,##0_)_ _F_ ;_ * \(#,##0\)_ _F_ ;_ * &quot;-&quot;_)_ _F_ ;_ @_ "/>
    <numFmt numFmtId="176" formatCode="_ * #,##0.00_)&quot; F&quot;_ ;_ * \(#,##0.00\)&quot; F&quot;_ ;_ * &quot;-&quot;??_)&quot; F&quot;_ ;_ @_ "/>
    <numFmt numFmtId="177" formatCode="_ * #,##0.00_)_ _F_ ;_ * \(#,##0.00\)_ _F_ ;_ * &quot;-&quot;??_)_ _F_ ;_ @_ "/>
    <numFmt numFmtId="178" formatCode="#,##0.0"/>
    <numFmt numFmtId="179" formatCode="#,##0.000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color indexed="8"/>
      <name val="Arial"/>
      <family val="0"/>
    </font>
    <font>
      <sz val="9"/>
      <color indexed="63"/>
      <name val="Times"/>
      <family val="1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0"/>
      <color indexed="8"/>
      <name val="Arial"/>
      <family val="0"/>
    </font>
    <font>
      <sz val="10"/>
      <name val="Times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7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1" xfId="0" applyFont="1" applyFill="1" applyBorder="1" applyAlignment="1" applyProtection="1">
      <alignment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4" xfId="0" applyFont="1" applyBorder="1" applyAlignment="1" applyProtection="1">
      <alignment/>
      <protection hidden="1"/>
    </xf>
    <xf numFmtId="0" fontId="10" fillId="0" borderId="4" xfId="0" applyFont="1" applyFill="1" applyBorder="1" applyAlignment="1" applyProtection="1">
      <alignment/>
      <protection hidden="1"/>
    </xf>
    <xf numFmtId="0" fontId="9" fillId="0" borderId="4" xfId="0" applyFont="1" applyFill="1" applyBorder="1" applyAlignment="1" applyProtection="1">
      <alignment/>
      <protection hidden="1"/>
    </xf>
    <xf numFmtId="0" fontId="10" fillId="0" borderId="5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3" fontId="10" fillId="0" borderId="6" xfId="0" applyNumberFormat="1" applyFont="1" applyFill="1" applyBorder="1" applyAlignment="1" applyProtection="1">
      <alignment/>
      <protection hidden="1"/>
    </xf>
    <xf numFmtId="3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0" fillId="0" borderId="6" xfId="0" applyFont="1" applyFill="1" applyBorder="1" applyAlignment="1" applyProtection="1">
      <alignment/>
      <protection hidden="1"/>
    </xf>
    <xf numFmtId="3" fontId="10" fillId="0" borderId="7" xfId="0" applyNumberFormat="1" applyFont="1" applyFill="1" applyBorder="1" applyAlignment="1" applyProtection="1">
      <alignment/>
      <protection hidden="1"/>
    </xf>
    <xf numFmtId="0" fontId="9" fillId="0" borderId="6" xfId="0" applyFont="1" applyFill="1" applyBorder="1" applyAlignment="1" applyProtection="1">
      <alignment/>
      <protection hidden="1"/>
    </xf>
    <xf numFmtId="0" fontId="10" fillId="0" borderId="8" xfId="0" applyFont="1" applyFill="1" applyBorder="1" applyAlignment="1" applyProtection="1">
      <alignment/>
      <protection hidden="1"/>
    </xf>
    <xf numFmtId="0" fontId="10" fillId="0" borderId="9" xfId="0" applyFont="1" applyFill="1" applyBorder="1" applyAlignment="1" applyProtection="1">
      <alignment/>
      <protection hidden="1"/>
    </xf>
    <xf numFmtId="0" fontId="9" fillId="0" borderId="8" xfId="0" applyFont="1" applyBorder="1" applyAlignment="1" applyProtection="1">
      <alignment/>
      <protection hidden="1"/>
    </xf>
    <xf numFmtId="0" fontId="9" fillId="0" borderId="9" xfId="0" applyFont="1" applyBorder="1" applyAlignment="1" applyProtection="1">
      <alignment/>
      <protection hidden="1"/>
    </xf>
    <xf numFmtId="179" fontId="10" fillId="0" borderId="7" xfId="0" applyNumberFormat="1" applyFont="1" applyFill="1" applyBorder="1" applyAlignment="1" applyProtection="1">
      <alignment/>
      <protection hidden="1"/>
    </xf>
    <xf numFmtId="0" fontId="9" fillId="0" borderId="9" xfId="0" applyFont="1" applyFill="1" applyBorder="1" applyAlignment="1" applyProtection="1">
      <alignment/>
      <protection hidden="1"/>
    </xf>
    <xf numFmtId="4" fontId="9" fillId="0" borderId="7" xfId="0" applyNumberFormat="1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1" fontId="9" fillId="0" borderId="0" xfId="0" applyNumberFormat="1" applyFont="1" applyFill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3" fontId="10" fillId="0" borderId="2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1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3" fontId="10" fillId="0" borderId="3" xfId="0" applyNumberFormat="1" applyFont="1" applyFill="1" applyBorder="1" applyAlignment="1" applyProtection="1">
      <alignment/>
      <protection hidden="1"/>
    </xf>
    <xf numFmtId="3" fontId="10" fillId="0" borderId="0" xfId="0" applyNumberFormat="1" applyFont="1" applyFill="1" applyBorder="1" applyAlignment="1" applyProtection="1">
      <alignment/>
      <protection hidden="1"/>
    </xf>
    <xf numFmtId="3" fontId="11" fillId="0" borderId="2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10" fillId="2" borderId="3" xfId="0" applyFont="1" applyFill="1" applyBorder="1" applyAlignment="1" applyProtection="1">
      <alignment horizontal="center"/>
      <protection locked="0"/>
    </xf>
    <xf numFmtId="10" fontId="10" fillId="2" borderId="3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10" fontId="10" fillId="2" borderId="7" xfId="0" applyNumberFormat="1" applyFont="1" applyFill="1" applyBorder="1" applyAlignment="1" applyProtection="1">
      <alignment horizontal="center"/>
      <protection locked="0"/>
    </xf>
    <xf numFmtId="3" fontId="10" fillId="2" borderId="7" xfId="0" applyNumberFormat="1" applyFont="1" applyFill="1" applyBorder="1" applyAlignment="1" applyProtection="1">
      <alignment horizontal="center"/>
      <protection locked="0"/>
    </xf>
    <xf numFmtId="3" fontId="10" fillId="2" borderId="3" xfId="0" applyNumberFormat="1" applyFont="1" applyFill="1" applyBorder="1" applyAlignment="1" applyProtection="1">
      <alignment/>
      <protection locked="0"/>
    </xf>
    <xf numFmtId="3" fontId="10" fillId="2" borderId="6" xfId="0" applyNumberFormat="1" applyFont="1" applyFill="1" applyBorder="1" applyAlignment="1" applyProtection="1">
      <alignment/>
      <protection locked="0"/>
    </xf>
    <xf numFmtId="3" fontId="10" fillId="2" borderId="2" xfId="0" applyNumberFormat="1" applyFont="1" applyFill="1" applyBorder="1" applyAlignment="1" applyProtection="1">
      <alignment/>
      <protection locked="0"/>
    </xf>
    <xf numFmtId="10" fontId="9" fillId="2" borderId="3" xfId="21" applyNumberFormat="1" applyFont="1" applyFill="1" applyBorder="1" applyAlignment="1" applyProtection="1">
      <alignment/>
      <protection locked="0"/>
    </xf>
    <xf numFmtId="10" fontId="9" fillId="2" borderId="6" xfId="21" applyNumberFormat="1" applyFont="1" applyFill="1" applyBorder="1" applyAlignment="1" applyProtection="1">
      <alignment/>
      <protection locked="0"/>
    </xf>
    <xf numFmtId="10" fontId="9" fillId="2" borderId="7" xfId="21" applyNumberFormat="1" applyFont="1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/>
      <protection locked="0"/>
    </xf>
    <xf numFmtId="4" fontId="9" fillId="2" borderId="6" xfId="0" applyNumberFormat="1" applyFont="1" applyFill="1" applyBorder="1" applyAlignment="1" applyProtection="1">
      <alignment/>
      <protection locked="0"/>
    </xf>
    <xf numFmtId="2" fontId="9" fillId="2" borderId="6" xfId="0" applyNumberFormat="1" applyFont="1" applyFill="1" applyBorder="1" applyAlignment="1" applyProtection="1">
      <alignment/>
      <protection locked="0"/>
    </xf>
    <xf numFmtId="4" fontId="9" fillId="2" borderId="3" xfId="0" applyNumberFormat="1" applyFont="1" applyFill="1" applyBorder="1" applyAlignment="1" applyProtection="1">
      <alignment/>
      <protection locked="0"/>
    </xf>
    <xf numFmtId="0" fontId="10" fillId="2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 horizontal="distributed" vertical="center"/>
      <protection hidden="1"/>
    </xf>
    <xf numFmtId="0" fontId="4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distributed"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14" fillId="0" borderId="0" xfId="0" applyFont="1" applyFill="1" applyAlignment="1" applyProtection="1">
      <alignment horizontal="distributed"/>
      <protection hidden="1"/>
    </xf>
    <xf numFmtId="3" fontId="15" fillId="0" borderId="0" xfId="0" applyNumberFormat="1" applyFont="1" applyAlignment="1" applyProtection="1">
      <alignment horizontal="right"/>
      <protection hidden="1"/>
    </xf>
    <xf numFmtId="0" fontId="10" fillId="0" borderId="4" xfId="0" applyFont="1" applyFill="1" applyBorder="1" applyAlignment="1" applyProtection="1">
      <alignment horizontal="center"/>
      <protection hidden="1"/>
    </xf>
    <xf numFmtId="0" fontId="10" fillId="0" borderId="1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1581150</xdr:colOff>
      <xdr:row>1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6"/>
  <sheetViews>
    <sheetView showGridLines="0" tabSelected="1" zoomScale="75" zoomScaleNormal="75" zoomScaleSheetLayoutView="75" workbookViewId="0" topLeftCell="A1">
      <selection activeCell="C10" sqref="C10"/>
    </sheetView>
  </sheetViews>
  <sheetFormatPr defaultColWidth="11.00390625" defaultRowHeight="12.75"/>
  <cols>
    <col min="1" max="1" width="27.625" style="1" customWidth="1"/>
    <col min="2" max="21" width="8.75390625" style="1" customWidth="1"/>
    <col min="22" max="31" width="9.25390625" style="1" customWidth="1"/>
    <col min="32" max="16384" width="10.75390625" style="1" customWidth="1"/>
  </cols>
  <sheetData>
    <row r="1" ht="30" customHeight="1"/>
    <row r="2" spans="1:21" ht="12.75">
      <c r="A2" s="66"/>
      <c r="B2" s="66"/>
      <c r="C2" s="66"/>
      <c r="D2" s="66"/>
      <c r="E2" s="66"/>
      <c r="F2" s="66"/>
      <c r="G2" s="66"/>
      <c r="H2" s="66"/>
      <c r="I2" s="66"/>
      <c r="U2" s="68" t="s">
        <v>59</v>
      </c>
    </row>
    <row r="3" spans="1:21" ht="6" customHeight="1">
      <c r="A3" s="62"/>
      <c r="B3" s="62"/>
      <c r="C3" s="62"/>
      <c r="D3" s="62"/>
      <c r="E3" s="62"/>
      <c r="F3" s="62"/>
      <c r="G3" s="62"/>
      <c r="H3" s="62"/>
      <c r="I3" s="62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1" ht="15">
      <c r="A4" s="65"/>
      <c r="B4" s="65"/>
      <c r="C4" s="65"/>
      <c r="D4" s="65"/>
      <c r="E4" s="65"/>
      <c r="F4" s="65"/>
      <c r="G4" s="65"/>
      <c r="H4" s="65"/>
      <c r="I4" s="65"/>
      <c r="U4" s="3"/>
    </row>
    <row r="5" spans="1:21" ht="15.75">
      <c r="A5" s="45"/>
      <c r="B5" s="45"/>
      <c r="C5" s="45"/>
      <c r="D5" s="45"/>
      <c r="E5" s="45"/>
      <c r="F5" s="45"/>
      <c r="G5" s="45"/>
      <c r="H5" s="45"/>
      <c r="I5" s="45"/>
      <c r="U5" s="2" t="s">
        <v>56</v>
      </c>
    </row>
    <row r="6" ht="18.75" customHeight="1">
      <c r="U6" s="3" t="s">
        <v>40</v>
      </c>
    </row>
    <row r="7" ht="18.75" customHeight="1"/>
    <row r="8" spans="1:34" s="6" customFormat="1" ht="18.75" customHeight="1">
      <c r="A8" s="4" t="s">
        <v>0</v>
      </c>
      <c r="B8" s="5"/>
      <c r="C8" s="5"/>
      <c r="D8" s="5"/>
      <c r="W8" s="70" t="s">
        <v>60</v>
      </c>
      <c r="X8" s="69"/>
      <c r="Y8" s="8" t="s">
        <v>61</v>
      </c>
      <c r="Z8" s="8" t="s">
        <v>62</v>
      </c>
      <c r="AB8" s="1"/>
      <c r="AC8" s="1"/>
      <c r="AD8" s="1"/>
      <c r="AE8" s="1"/>
      <c r="AF8" s="1"/>
      <c r="AG8" s="1"/>
      <c r="AH8" s="1"/>
    </row>
    <row r="9" spans="1:34" s="6" customFormat="1" ht="18.75" customHeight="1">
      <c r="A9" s="8" t="s">
        <v>34</v>
      </c>
      <c r="B9" s="9" t="s">
        <v>31</v>
      </c>
      <c r="C9" s="9" t="s">
        <v>32</v>
      </c>
      <c r="D9" s="9" t="s">
        <v>41</v>
      </c>
      <c r="E9" s="9" t="s">
        <v>33</v>
      </c>
      <c r="F9" s="10" t="s">
        <v>1</v>
      </c>
      <c r="G9" s="11"/>
      <c r="H9" s="11"/>
      <c r="I9" s="11"/>
      <c r="J9" s="54">
        <v>0.0125</v>
      </c>
      <c r="K9" s="7" t="s">
        <v>35</v>
      </c>
      <c r="L9" s="12"/>
      <c r="M9" s="12"/>
      <c r="N9" s="12"/>
      <c r="O9" s="54">
        <v>0.006</v>
      </c>
      <c r="P9" s="10" t="s">
        <v>50</v>
      </c>
      <c r="Q9" s="13"/>
      <c r="R9" s="12"/>
      <c r="S9" s="13"/>
      <c r="T9" s="13"/>
      <c r="U9" s="60">
        <v>350</v>
      </c>
      <c r="W9" s="14" t="s">
        <v>43</v>
      </c>
      <c r="X9" s="15"/>
      <c r="Y9" s="16">
        <v>288</v>
      </c>
      <c r="Z9" s="16">
        <v>349</v>
      </c>
      <c r="AB9" s="1"/>
      <c r="AC9" s="1"/>
      <c r="AD9" s="1"/>
      <c r="AE9" s="1"/>
      <c r="AF9" s="1"/>
      <c r="AG9" s="1"/>
      <c r="AH9" s="1"/>
    </row>
    <row r="10" spans="1:34" s="6" customFormat="1" ht="18.75" customHeight="1">
      <c r="A10" s="14" t="s">
        <v>49</v>
      </c>
      <c r="B10" s="46">
        <v>35</v>
      </c>
      <c r="C10" s="47">
        <v>0.0345</v>
      </c>
      <c r="D10" s="17"/>
      <c r="E10" s="51">
        <v>380000</v>
      </c>
      <c r="F10" s="18" t="s">
        <v>2</v>
      </c>
      <c r="G10" s="19"/>
      <c r="H10" s="19"/>
      <c r="I10" s="19"/>
      <c r="J10" s="55">
        <v>0.0125</v>
      </c>
      <c r="K10" s="18" t="s">
        <v>23</v>
      </c>
      <c r="L10" s="20"/>
      <c r="M10" s="20"/>
      <c r="N10" s="20"/>
      <c r="O10" s="57">
        <v>2000</v>
      </c>
      <c r="P10" s="18" t="s">
        <v>51</v>
      </c>
      <c r="Q10" s="20"/>
      <c r="R10" s="15"/>
      <c r="S10" s="20"/>
      <c r="T10" s="20"/>
      <c r="U10" s="58">
        <v>350</v>
      </c>
      <c r="W10" s="14" t="s">
        <v>44</v>
      </c>
      <c r="X10" s="15"/>
      <c r="Y10" s="16">
        <v>358</v>
      </c>
      <c r="Z10" s="16">
        <v>412</v>
      </c>
      <c r="AB10" s="1"/>
      <c r="AC10" s="1"/>
      <c r="AD10" s="1"/>
      <c r="AE10" s="1"/>
      <c r="AF10" s="1"/>
      <c r="AG10" s="1"/>
      <c r="AH10" s="1"/>
    </row>
    <row r="11" spans="1:34" s="6" customFormat="1" ht="18.75" customHeight="1">
      <c r="A11" s="14" t="s">
        <v>27</v>
      </c>
      <c r="B11" s="48">
        <v>20</v>
      </c>
      <c r="C11" s="49">
        <v>0.015</v>
      </c>
      <c r="D11" s="50">
        <v>5</v>
      </c>
      <c r="E11" s="52">
        <v>80000</v>
      </c>
      <c r="F11" s="18" t="s">
        <v>4</v>
      </c>
      <c r="G11" s="19"/>
      <c r="H11" s="19"/>
      <c r="I11" s="19"/>
      <c r="J11" s="55">
        <v>0.0175</v>
      </c>
      <c r="K11" s="18" t="s">
        <v>5</v>
      </c>
      <c r="L11" s="20"/>
      <c r="M11" s="15"/>
      <c r="N11" s="15"/>
      <c r="O11" s="57">
        <v>12</v>
      </c>
      <c r="P11" s="18" t="s">
        <v>52</v>
      </c>
      <c r="Q11" s="20"/>
      <c r="R11" s="15"/>
      <c r="S11" s="20"/>
      <c r="T11" s="20"/>
      <c r="U11" s="58">
        <v>600</v>
      </c>
      <c r="W11" s="14" t="s">
        <v>45</v>
      </c>
      <c r="X11" s="15"/>
      <c r="Y11" s="16">
        <v>821</v>
      </c>
      <c r="Z11" s="16">
        <v>678</v>
      </c>
      <c r="AB11" s="1"/>
      <c r="AC11" s="1"/>
      <c r="AD11" s="1"/>
      <c r="AE11" s="1"/>
      <c r="AF11" s="1"/>
      <c r="AG11" s="1"/>
      <c r="AH11" s="1"/>
    </row>
    <row r="12" spans="1:34" s="6" customFormat="1" ht="18.75" customHeight="1">
      <c r="A12" s="14" t="s">
        <v>28</v>
      </c>
      <c r="B12" s="15"/>
      <c r="C12" s="15"/>
      <c r="D12" s="15"/>
      <c r="E12" s="52">
        <v>100000</v>
      </c>
      <c r="F12" s="18" t="s">
        <v>6</v>
      </c>
      <c r="G12" s="19"/>
      <c r="H12" s="19"/>
      <c r="I12" s="19"/>
      <c r="J12" s="55">
        <v>0.015</v>
      </c>
      <c r="K12" s="18" t="s">
        <v>26</v>
      </c>
      <c r="L12" s="20"/>
      <c r="M12" s="15"/>
      <c r="N12" s="15"/>
      <c r="O12" s="58">
        <v>380</v>
      </c>
      <c r="P12" s="21" t="s">
        <v>36</v>
      </c>
      <c r="Q12" s="15"/>
      <c r="R12" s="15"/>
      <c r="S12" s="15"/>
      <c r="T12" s="15"/>
      <c r="U12" s="55">
        <v>0.0225</v>
      </c>
      <c r="W12" s="14"/>
      <c r="X12" s="15"/>
      <c r="Y12" s="16"/>
      <c r="Z12" s="16"/>
      <c r="AB12" s="1"/>
      <c r="AC12" s="1"/>
      <c r="AD12" s="1"/>
      <c r="AE12" s="1"/>
      <c r="AF12" s="1"/>
      <c r="AG12" s="1"/>
      <c r="AH12" s="1"/>
    </row>
    <row r="13" spans="1:34" s="6" customFormat="1" ht="18.75" customHeight="1">
      <c r="A13" s="14" t="s">
        <v>29</v>
      </c>
      <c r="B13" s="15"/>
      <c r="C13" s="15"/>
      <c r="D13" s="15"/>
      <c r="E13" s="22">
        <f>E14-SUM(E10:E12)</f>
        <v>6000</v>
      </c>
      <c r="F13" s="18" t="s">
        <v>7</v>
      </c>
      <c r="G13" s="19"/>
      <c r="H13" s="19"/>
      <c r="I13" s="19"/>
      <c r="J13" s="55">
        <v>0.015</v>
      </c>
      <c r="K13" s="18" t="s">
        <v>8</v>
      </c>
      <c r="L13" s="20"/>
      <c r="M13" s="15"/>
      <c r="N13" s="15"/>
      <c r="O13" s="59">
        <v>5.78</v>
      </c>
      <c r="P13" s="18" t="s">
        <v>3</v>
      </c>
      <c r="Q13" s="20"/>
      <c r="R13" s="20"/>
      <c r="S13" s="20"/>
      <c r="T13" s="20"/>
      <c r="U13" s="23">
        <f>O10+16</f>
        <v>2016</v>
      </c>
      <c r="W13" s="14"/>
      <c r="X13" s="15"/>
      <c r="Y13" s="16"/>
      <c r="Z13" s="16"/>
      <c r="AB13" s="1"/>
      <c r="AC13" s="1"/>
      <c r="AD13" s="1"/>
      <c r="AE13" s="1"/>
      <c r="AF13" s="1"/>
      <c r="AG13" s="1"/>
      <c r="AH13" s="1"/>
    </row>
    <row r="14" spans="1:34" s="6" customFormat="1" ht="18.75" customHeight="1">
      <c r="A14" s="24" t="s">
        <v>30</v>
      </c>
      <c r="B14" s="25"/>
      <c r="C14" s="25"/>
      <c r="D14" s="25"/>
      <c r="E14" s="53">
        <v>566000</v>
      </c>
      <c r="F14" s="26" t="s">
        <v>9</v>
      </c>
      <c r="G14" s="27"/>
      <c r="H14" s="27"/>
      <c r="I14" s="27"/>
      <c r="J14" s="56">
        <v>0.3</v>
      </c>
      <c r="K14" s="24" t="s">
        <v>39</v>
      </c>
      <c r="L14" s="25"/>
      <c r="M14" s="25"/>
      <c r="N14" s="25"/>
      <c r="O14" s="28">
        <f>0.77*(1+((O11*20)/O12))</f>
        <v>1.2563157894736843</v>
      </c>
      <c r="P14" s="26" t="s">
        <v>53</v>
      </c>
      <c r="Q14" s="29"/>
      <c r="R14" s="25"/>
      <c r="S14" s="29"/>
      <c r="T14" s="29"/>
      <c r="U14" s="30">
        <f>E14*O9/O11</f>
        <v>283</v>
      </c>
      <c r="W14" s="24" t="s">
        <v>46</v>
      </c>
      <c r="X14" s="25"/>
      <c r="Y14" s="22">
        <v>332</v>
      </c>
      <c r="Z14" s="22">
        <v>200</v>
      </c>
      <c r="AB14" s="1"/>
      <c r="AC14" s="1"/>
      <c r="AD14" s="1"/>
      <c r="AE14" s="1"/>
      <c r="AF14" s="1"/>
      <c r="AG14" s="1"/>
      <c r="AH14" s="1"/>
    </row>
    <row r="15" spans="1:26" s="6" customFormat="1" ht="18.75" customHeight="1">
      <c r="A15" s="31"/>
      <c r="B15" s="32"/>
      <c r="C15" s="32"/>
      <c r="D15" s="32"/>
      <c r="E15" s="32"/>
      <c r="F15" s="32"/>
      <c r="G15" s="32"/>
      <c r="H15" s="32"/>
      <c r="I15" s="32"/>
      <c r="K15" s="31"/>
      <c r="L15" s="31"/>
      <c r="M15" s="31"/>
      <c r="N15" s="31"/>
      <c r="O15" s="31"/>
      <c r="P15" s="31"/>
      <c r="U15" s="33"/>
      <c r="V15" s="34" t="s">
        <v>47</v>
      </c>
      <c r="W15" s="35">
        <f>U14+U11+U10+U9</f>
        <v>1583</v>
      </c>
      <c r="X15" s="34" t="s">
        <v>48</v>
      </c>
      <c r="Y15" s="35">
        <f>SUM(Y9:Y14)</f>
        <v>1799</v>
      </c>
      <c r="Z15" s="35">
        <f>SUM(Z9:Z14)</f>
        <v>1639</v>
      </c>
    </row>
    <row r="16" spans="1:8" s="6" customFormat="1" ht="18.75" customHeight="1">
      <c r="A16" s="36" t="s">
        <v>10</v>
      </c>
      <c r="B16" s="37"/>
      <c r="C16" s="37"/>
      <c r="D16" s="37"/>
      <c r="E16" s="37"/>
      <c r="F16" s="37"/>
      <c r="G16" s="37"/>
      <c r="H16" s="37"/>
    </row>
    <row r="17" spans="2:31" s="38" customFormat="1" ht="18.75" customHeight="1">
      <c r="B17" s="39">
        <f>$O$10+1</f>
        <v>2001</v>
      </c>
      <c r="C17" s="39">
        <f aca="true" t="shared" si="0" ref="C17:O17">B17+1</f>
        <v>2002</v>
      </c>
      <c r="D17" s="39">
        <f>C17+1</f>
        <v>2003</v>
      </c>
      <c r="E17" s="39">
        <f>D17+1</f>
        <v>2004</v>
      </c>
      <c r="F17" s="39">
        <f t="shared" si="0"/>
        <v>2005</v>
      </c>
      <c r="G17" s="39">
        <f t="shared" si="0"/>
        <v>2006</v>
      </c>
      <c r="H17" s="39">
        <f t="shared" si="0"/>
        <v>2007</v>
      </c>
      <c r="I17" s="39">
        <f t="shared" si="0"/>
        <v>2008</v>
      </c>
      <c r="J17" s="39">
        <f>I17+1</f>
        <v>2009</v>
      </c>
      <c r="K17" s="39">
        <f t="shared" si="0"/>
        <v>2010</v>
      </c>
      <c r="L17" s="39">
        <f t="shared" si="0"/>
        <v>2011</v>
      </c>
      <c r="M17" s="39">
        <f t="shared" si="0"/>
        <v>2012</v>
      </c>
      <c r="N17" s="39">
        <f t="shared" si="0"/>
        <v>2013</v>
      </c>
      <c r="O17" s="39">
        <f t="shared" si="0"/>
        <v>2014</v>
      </c>
      <c r="P17" s="39">
        <f aca="true" t="shared" si="1" ref="P17:U17">O17+1</f>
        <v>2015</v>
      </c>
      <c r="Q17" s="39">
        <f t="shared" si="1"/>
        <v>2016</v>
      </c>
      <c r="R17" s="39">
        <f t="shared" si="1"/>
        <v>2017</v>
      </c>
      <c r="S17" s="39">
        <f t="shared" si="1"/>
        <v>2018</v>
      </c>
      <c r="T17" s="39">
        <f t="shared" si="1"/>
        <v>2019</v>
      </c>
      <c r="U17" s="39">
        <f t="shared" si="1"/>
        <v>2020</v>
      </c>
      <c r="V17" s="39">
        <f aca="true" t="shared" si="2" ref="V17:AE17">U17+1</f>
        <v>2021</v>
      </c>
      <c r="W17" s="39">
        <f t="shared" si="2"/>
        <v>2022</v>
      </c>
      <c r="X17" s="39">
        <f t="shared" si="2"/>
        <v>2023</v>
      </c>
      <c r="Y17" s="39">
        <f t="shared" si="2"/>
        <v>2024</v>
      </c>
      <c r="Z17" s="39">
        <f t="shared" si="2"/>
        <v>2025</v>
      </c>
      <c r="AA17" s="39">
        <f t="shared" si="2"/>
        <v>2026</v>
      </c>
      <c r="AB17" s="39">
        <f t="shared" si="2"/>
        <v>2027</v>
      </c>
      <c r="AC17" s="39">
        <f t="shared" si="2"/>
        <v>2028</v>
      </c>
      <c r="AD17" s="39">
        <f t="shared" si="2"/>
        <v>2029</v>
      </c>
      <c r="AE17" s="39">
        <f t="shared" si="2"/>
        <v>2030</v>
      </c>
    </row>
    <row r="18" spans="2:31" s="6" customFormat="1" ht="18.7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6" customFormat="1" ht="18.75" customHeight="1">
      <c r="A19" s="5" t="s">
        <v>11</v>
      </c>
      <c r="B19" s="41">
        <f>$O$12*$O$13*12*$O$14</f>
        <v>33112.46400000001</v>
      </c>
      <c r="C19" s="41">
        <f aca="true" t="shared" si="3" ref="C19:O19">B19*(1+$J$9)</f>
        <v>33526.36980000001</v>
      </c>
      <c r="D19" s="41">
        <f t="shared" si="3"/>
        <v>33945.44942250001</v>
      </c>
      <c r="E19" s="41">
        <f t="shared" si="3"/>
        <v>34369.76754028126</v>
      </c>
      <c r="F19" s="41">
        <f t="shared" si="3"/>
        <v>34799.389634534775</v>
      </c>
      <c r="G19" s="41">
        <f t="shared" si="3"/>
        <v>35234.38200496646</v>
      </c>
      <c r="H19" s="41">
        <f t="shared" si="3"/>
        <v>35674.81178002854</v>
      </c>
      <c r="I19" s="41">
        <f t="shared" si="3"/>
        <v>36120.746927278895</v>
      </c>
      <c r="J19" s="41">
        <f t="shared" si="3"/>
        <v>36572.25626386988</v>
      </c>
      <c r="K19" s="41">
        <f t="shared" si="3"/>
        <v>37029.409467168254</v>
      </c>
      <c r="L19" s="41">
        <f t="shared" si="3"/>
        <v>37492.277085507856</v>
      </c>
      <c r="M19" s="41">
        <f t="shared" si="3"/>
        <v>37960.9305490767</v>
      </c>
      <c r="N19" s="41">
        <f t="shared" si="3"/>
        <v>38435.442180940154</v>
      </c>
      <c r="O19" s="41">
        <f t="shared" si="3"/>
        <v>38915.88520820191</v>
      </c>
      <c r="P19" s="41">
        <f aca="true" t="shared" si="4" ref="P19:U19">O19*(1+$J$9)</f>
        <v>39402.33377330443</v>
      </c>
      <c r="Q19" s="41">
        <f t="shared" si="4"/>
        <v>39894.86294547073</v>
      </c>
      <c r="R19" s="41">
        <f t="shared" si="4"/>
        <v>40393.54873228911</v>
      </c>
      <c r="S19" s="41">
        <f t="shared" si="4"/>
        <v>40898.46809144272</v>
      </c>
      <c r="T19" s="41">
        <f t="shared" si="4"/>
        <v>41409.698942585754</v>
      </c>
      <c r="U19" s="41">
        <f t="shared" si="4"/>
        <v>41927.32017936807</v>
      </c>
      <c r="V19" s="41">
        <f aca="true" t="shared" si="5" ref="V19:AE19">U19*(1+$J$9)</f>
        <v>42451.41168161017</v>
      </c>
      <c r="W19" s="41">
        <f t="shared" si="5"/>
        <v>42982.05432763029</v>
      </c>
      <c r="X19" s="41">
        <f t="shared" si="5"/>
        <v>43519.33000672567</v>
      </c>
      <c r="Y19" s="41">
        <f t="shared" si="5"/>
        <v>44063.32163180974</v>
      </c>
      <c r="Z19" s="41">
        <f t="shared" si="5"/>
        <v>44614.11315220736</v>
      </c>
      <c r="AA19" s="41">
        <f t="shared" si="5"/>
        <v>45171.78956660995</v>
      </c>
      <c r="AB19" s="41">
        <f t="shared" si="5"/>
        <v>45736.43693619257</v>
      </c>
      <c r="AC19" s="41">
        <f t="shared" si="5"/>
        <v>46308.142397894975</v>
      </c>
      <c r="AD19" s="41">
        <f t="shared" si="5"/>
        <v>46886.99417786866</v>
      </c>
      <c r="AE19" s="41">
        <f t="shared" si="5"/>
        <v>47473.08160509202</v>
      </c>
    </row>
    <row r="20" spans="1:31" s="6" customFormat="1" ht="18.75" customHeight="1">
      <c r="A20" s="5" t="s">
        <v>12</v>
      </c>
      <c r="B20" s="16">
        <f aca="true" t="shared" si="6" ref="B20:Q20">B19*-$J$12</f>
        <v>-496.6869600000001</v>
      </c>
      <c r="C20" s="16">
        <f t="shared" si="6"/>
        <v>-502.8955470000001</v>
      </c>
      <c r="D20" s="16">
        <f t="shared" si="6"/>
        <v>-509.1817413375001</v>
      </c>
      <c r="E20" s="16">
        <f t="shared" si="6"/>
        <v>-515.5465131042189</v>
      </c>
      <c r="F20" s="16">
        <f t="shared" si="6"/>
        <v>-521.9908445180216</v>
      </c>
      <c r="G20" s="16">
        <f t="shared" si="6"/>
        <v>-528.5157300744968</v>
      </c>
      <c r="H20" s="16">
        <f t="shared" si="6"/>
        <v>-535.1221767004281</v>
      </c>
      <c r="I20" s="16">
        <f t="shared" si="6"/>
        <v>-541.8112039091834</v>
      </c>
      <c r="J20" s="16">
        <f t="shared" si="6"/>
        <v>-548.5838439580482</v>
      </c>
      <c r="K20" s="16">
        <f t="shared" si="6"/>
        <v>-555.4411420075238</v>
      </c>
      <c r="L20" s="16">
        <f t="shared" si="6"/>
        <v>-562.3841562826178</v>
      </c>
      <c r="M20" s="16">
        <f t="shared" si="6"/>
        <v>-569.4139582361505</v>
      </c>
      <c r="N20" s="16">
        <f t="shared" si="6"/>
        <v>-576.5316327141023</v>
      </c>
      <c r="O20" s="16">
        <f t="shared" si="6"/>
        <v>-583.7382781230286</v>
      </c>
      <c r="P20" s="16">
        <f t="shared" si="6"/>
        <v>-591.0350065995665</v>
      </c>
      <c r="Q20" s="16">
        <f t="shared" si="6"/>
        <v>-598.422944182061</v>
      </c>
      <c r="R20" s="16">
        <f>R19*-$J$12</f>
        <v>-605.9032309843367</v>
      </c>
      <c r="S20" s="16">
        <f>S19*-$J$12</f>
        <v>-613.4770213716408</v>
      </c>
      <c r="T20" s="16">
        <f>T19*-$J$12</f>
        <v>-621.1454841387863</v>
      </c>
      <c r="U20" s="16">
        <f>U19*-$J$12</f>
        <v>-628.909802690521</v>
      </c>
      <c r="V20" s="16">
        <f>V19*-$J$12</f>
        <v>-636.7711752241524</v>
      </c>
      <c r="W20" s="16">
        <f aca="true" t="shared" si="7" ref="W20:AE20">W19*-$J$12</f>
        <v>-644.7308149144544</v>
      </c>
      <c r="X20" s="16">
        <f t="shared" si="7"/>
        <v>-652.789950100885</v>
      </c>
      <c r="Y20" s="16">
        <f t="shared" si="7"/>
        <v>-660.9498244771461</v>
      </c>
      <c r="Z20" s="16">
        <f t="shared" si="7"/>
        <v>-669.2116972831104</v>
      </c>
      <c r="AA20" s="16">
        <f t="shared" si="7"/>
        <v>-677.5768434991493</v>
      </c>
      <c r="AB20" s="16">
        <f t="shared" si="7"/>
        <v>-686.0465540428885</v>
      </c>
      <c r="AC20" s="16">
        <f t="shared" si="7"/>
        <v>-694.6221359684246</v>
      </c>
      <c r="AD20" s="16">
        <f t="shared" si="7"/>
        <v>-703.3049126680299</v>
      </c>
      <c r="AE20" s="16">
        <f t="shared" si="7"/>
        <v>-712.0962240763803</v>
      </c>
    </row>
    <row r="21" spans="1:31" s="6" customFormat="1" ht="18.75" customHeight="1">
      <c r="A21" s="5" t="s">
        <v>13</v>
      </c>
      <c r="B21" s="16">
        <f aca="true" t="shared" si="8" ref="B21:P21">-B19*$J$13</f>
        <v>-496.6869600000001</v>
      </c>
      <c r="C21" s="16">
        <f t="shared" si="8"/>
        <v>-502.8955470000001</v>
      </c>
      <c r="D21" s="16">
        <f t="shared" si="8"/>
        <v>-509.1817413375001</v>
      </c>
      <c r="E21" s="16">
        <f t="shared" si="8"/>
        <v>-515.5465131042189</v>
      </c>
      <c r="F21" s="16">
        <f t="shared" si="8"/>
        <v>-521.9908445180216</v>
      </c>
      <c r="G21" s="16">
        <f t="shared" si="8"/>
        <v>-528.5157300744968</v>
      </c>
      <c r="H21" s="16">
        <f t="shared" si="8"/>
        <v>-535.1221767004281</v>
      </c>
      <c r="I21" s="16">
        <f t="shared" si="8"/>
        <v>-541.8112039091834</v>
      </c>
      <c r="J21" s="16">
        <f t="shared" si="8"/>
        <v>-548.5838439580482</v>
      </c>
      <c r="K21" s="16">
        <f t="shared" si="8"/>
        <v>-555.4411420075238</v>
      </c>
      <c r="L21" s="16">
        <f t="shared" si="8"/>
        <v>-562.3841562826178</v>
      </c>
      <c r="M21" s="16">
        <f t="shared" si="8"/>
        <v>-569.4139582361505</v>
      </c>
      <c r="N21" s="16">
        <f t="shared" si="8"/>
        <v>-576.5316327141023</v>
      </c>
      <c r="O21" s="16">
        <f t="shared" si="8"/>
        <v>-583.7382781230286</v>
      </c>
      <c r="P21" s="16">
        <f t="shared" si="8"/>
        <v>-591.0350065995665</v>
      </c>
      <c r="Q21" s="16">
        <f aca="true" t="shared" si="9" ref="Q21:V21">-Q19*$J$13</f>
        <v>-598.422944182061</v>
      </c>
      <c r="R21" s="16">
        <f t="shared" si="9"/>
        <v>-605.9032309843367</v>
      </c>
      <c r="S21" s="16">
        <f t="shared" si="9"/>
        <v>-613.4770213716408</v>
      </c>
      <c r="T21" s="16">
        <f t="shared" si="9"/>
        <v>-621.1454841387863</v>
      </c>
      <c r="U21" s="16">
        <f t="shared" si="9"/>
        <v>-628.909802690521</v>
      </c>
      <c r="V21" s="16">
        <f t="shared" si="9"/>
        <v>-636.7711752241524</v>
      </c>
      <c r="W21" s="16">
        <f aca="true" t="shared" si="10" ref="W21:AE21">-W19*$J$13</f>
        <v>-644.7308149144544</v>
      </c>
      <c r="X21" s="16">
        <f t="shared" si="10"/>
        <v>-652.789950100885</v>
      </c>
      <c r="Y21" s="16">
        <f t="shared" si="10"/>
        <v>-660.9498244771461</v>
      </c>
      <c r="Z21" s="16">
        <f t="shared" si="10"/>
        <v>-669.2116972831104</v>
      </c>
      <c r="AA21" s="16">
        <f t="shared" si="10"/>
        <v>-677.5768434991493</v>
      </c>
      <c r="AB21" s="16">
        <f t="shared" si="10"/>
        <v>-686.0465540428885</v>
      </c>
      <c r="AC21" s="16">
        <f t="shared" si="10"/>
        <v>-694.6221359684246</v>
      </c>
      <c r="AD21" s="16">
        <f t="shared" si="10"/>
        <v>-703.3049126680299</v>
      </c>
      <c r="AE21" s="16">
        <f t="shared" si="10"/>
        <v>-712.0962240763803</v>
      </c>
    </row>
    <row r="22" spans="1:31" s="6" customFormat="1" ht="18.75" customHeight="1">
      <c r="A22" s="5" t="s">
        <v>14</v>
      </c>
      <c r="B22" s="16">
        <f>(B20+B21)*$J$14</f>
        <v>-298.01217600000007</v>
      </c>
      <c r="C22" s="16">
        <f aca="true" t="shared" si="11" ref="C22:AE22">(C20+C21)*$J$14</f>
        <v>-301.73732820000004</v>
      </c>
      <c r="D22" s="16">
        <f t="shared" si="11"/>
        <v>-305.50904480250006</v>
      </c>
      <c r="E22" s="16">
        <f t="shared" si="11"/>
        <v>-309.32790786253133</v>
      </c>
      <c r="F22" s="16">
        <f t="shared" si="11"/>
        <v>-313.19450671081296</v>
      </c>
      <c r="G22" s="16">
        <f t="shared" si="11"/>
        <v>-317.10943804469804</v>
      </c>
      <c r="H22" s="16">
        <f t="shared" si="11"/>
        <v>-321.07330602025684</v>
      </c>
      <c r="I22" s="16">
        <f t="shared" si="11"/>
        <v>-325.08672234551005</v>
      </c>
      <c r="J22" s="16">
        <f t="shared" si="11"/>
        <v>-329.1503063748289</v>
      </c>
      <c r="K22" s="16">
        <f t="shared" si="11"/>
        <v>-333.26468520451425</v>
      </c>
      <c r="L22" s="16">
        <f t="shared" si="11"/>
        <v>-337.43049376957066</v>
      </c>
      <c r="M22" s="16">
        <f t="shared" si="11"/>
        <v>-341.6483749416903</v>
      </c>
      <c r="N22" s="16">
        <f t="shared" si="11"/>
        <v>-345.9189796284614</v>
      </c>
      <c r="O22" s="16">
        <f t="shared" si="11"/>
        <v>-350.2429668738172</v>
      </c>
      <c r="P22" s="16">
        <f t="shared" si="11"/>
        <v>-354.6210039597399</v>
      </c>
      <c r="Q22" s="16">
        <f t="shared" si="11"/>
        <v>-359.0537665092366</v>
      </c>
      <c r="R22" s="16">
        <f t="shared" si="11"/>
        <v>-363.541938590602</v>
      </c>
      <c r="S22" s="16">
        <f t="shared" si="11"/>
        <v>-368.08621282298446</v>
      </c>
      <c r="T22" s="16">
        <f t="shared" si="11"/>
        <v>-372.68729048327174</v>
      </c>
      <c r="U22" s="16">
        <f t="shared" si="11"/>
        <v>-377.3458816143126</v>
      </c>
      <c r="V22" s="16">
        <f t="shared" si="11"/>
        <v>-382.06270513449147</v>
      </c>
      <c r="W22" s="16">
        <f t="shared" si="11"/>
        <v>-386.83848894867265</v>
      </c>
      <c r="X22" s="16">
        <f t="shared" si="11"/>
        <v>-391.67397006053096</v>
      </c>
      <c r="Y22" s="16">
        <f t="shared" si="11"/>
        <v>-396.5698946862876</v>
      </c>
      <c r="Z22" s="16">
        <f t="shared" si="11"/>
        <v>-401.52701836986625</v>
      </c>
      <c r="AA22" s="16">
        <f t="shared" si="11"/>
        <v>-406.5461060994896</v>
      </c>
      <c r="AB22" s="16">
        <f t="shared" si="11"/>
        <v>-411.6279324257331</v>
      </c>
      <c r="AC22" s="16">
        <f t="shared" si="11"/>
        <v>-416.77328158105473</v>
      </c>
      <c r="AD22" s="16">
        <f t="shared" si="11"/>
        <v>-421.98294760081797</v>
      </c>
      <c r="AE22" s="16">
        <f t="shared" si="11"/>
        <v>-427.25773444582813</v>
      </c>
    </row>
    <row r="23" spans="1:31" s="6" customFormat="1" ht="18.75" customHeight="1">
      <c r="A23" s="4" t="s">
        <v>15</v>
      </c>
      <c r="B23" s="35">
        <f aca="true" t="shared" si="12" ref="B23:P23">SUM(B19:B22)</f>
        <v>31821.07790400001</v>
      </c>
      <c r="C23" s="35">
        <f t="shared" si="12"/>
        <v>32218.841377800007</v>
      </c>
      <c r="D23" s="35">
        <f t="shared" si="12"/>
        <v>32621.576895022503</v>
      </c>
      <c r="E23" s="35">
        <f t="shared" si="12"/>
        <v>33029.34660621028</v>
      </c>
      <c r="F23" s="35">
        <f t="shared" si="12"/>
        <v>33442.21343878793</v>
      </c>
      <c r="G23" s="35">
        <f t="shared" si="12"/>
        <v>33860.241106772766</v>
      </c>
      <c r="H23" s="35">
        <f t="shared" si="12"/>
        <v>34283.49412060742</v>
      </c>
      <c r="I23" s="35">
        <f t="shared" si="12"/>
        <v>34712.03779711501</v>
      </c>
      <c r="J23" s="35">
        <f t="shared" si="12"/>
        <v>35145.93826957895</v>
      </c>
      <c r="K23" s="35">
        <f t="shared" si="12"/>
        <v>35585.262497948686</v>
      </c>
      <c r="L23" s="35">
        <f t="shared" si="12"/>
        <v>36030.078279173045</v>
      </c>
      <c r="M23" s="35">
        <f t="shared" si="12"/>
        <v>36480.45425766271</v>
      </c>
      <c r="N23" s="35">
        <f t="shared" si="12"/>
        <v>36936.45993588348</v>
      </c>
      <c r="O23" s="35">
        <f t="shared" si="12"/>
        <v>37398.165685082036</v>
      </c>
      <c r="P23" s="35">
        <f t="shared" si="12"/>
        <v>37865.64275614556</v>
      </c>
      <c r="Q23" s="35">
        <f aca="true" t="shared" si="13" ref="Q23:V23">SUM(Q19:Q22)</f>
        <v>38338.96329059737</v>
      </c>
      <c r="R23" s="35">
        <f t="shared" si="13"/>
        <v>38818.20033172984</v>
      </c>
      <c r="S23" s="35">
        <f t="shared" si="13"/>
        <v>39303.42783587646</v>
      </c>
      <c r="T23" s="35">
        <f t="shared" si="13"/>
        <v>39794.720683824904</v>
      </c>
      <c r="U23" s="35">
        <f t="shared" si="13"/>
        <v>40292.15469237272</v>
      </c>
      <c r="V23" s="35">
        <f t="shared" si="13"/>
        <v>40795.80662602737</v>
      </c>
      <c r="W23" s="35">
        <f aca="true" t="shared" si="14" ref="W23:AE23">SUM(W19:W22)</f>
        <v>41305.75420885272</v>
      </c>
      <c r="X23" s="35">
        <f t="shared" si="14"/>
        <v>41822.076136463365</v>
      </c>
      <c r="Y23" s="35">
        <f t="shared" si="14"/>
        <v>42344.85208816916</v>
      </c>
      <c r="Z23" s="35">
        <f t="shared" si="14"/>
        <v>42874.16273927127</v>
      </c>
      <c r="AA23" s="35">
        <f t="shared" si="14"/>
        <v>43410.08977351216</v>
      </c>
      <c r="AB23" s="35">
        <f t="shared" si="14"/>
        <v>43952.71589568107</v>
      </c>
      <c r="AC23" s="35">
        <f t="shared" si="14"/>
        <v>44502.12484437707</v>
      </c>
      <c r="AD23" s="35">
        <f t="shared" si="14"/>
        <v>45058.40140493179</v>
      </c>
      <c r="AE23" s="35">
        <f t="shared" si="14"/>
        <v>45621.631422493425</v>
      </c>
    </row>
    <row r="24" s="6" customFormat="1" ht="18.75" customHeight="1"/>
    <row r="25" spans="1:31" s="6" customFormat="1" ht="18.75" customHeight="1">
      <c r="A25" s="6" t="s">
        <v>25</v>
      </c>
      <c r="B25" s="41">
        <f>IF(B17&gt;($O$10+$B$10),0,IF(B17&lt;($O$10+$D$10+1),$E$10*$C$10,$E$10/(1-(1+$C$10)^-($B$10-$D$10))*$C$10))+IF(B17&gt;($O$10+$B$11),0,IF(B17&lt;($O$10+$D$11+1),$E$11*$C$11,$E$11/(1-(1+$C$11)^-($B$11-$D$11))*$C$11))</f>
        <v>20065.842076092104</v>
      </c>
      <c r="C25" s="41">
        <f aca="true" t="shared" si="15" ref="C25:U25">IF(C17&gt;($O$10+$B$10),0,IF(C17&lt;($O$10+$D$10+1),$E$10*$C$10,$E$10/(1-(1+$C$10)^-($B$10-$D$10))*$C$10))+IF(C17&gt;($O$10+$B$11),0,IF(C17&lt;($O$10+$D$11+1),$E$11*$C$11,$E$11/(1-(1+$C$11)^-($B$11-$D$11))*$C$11))</f>
        <v>20065.842076092104</v>
      </c>
      <c r="D25" s="41">
        <f t="shared" si="15"/>
        <v>20065.842076092104</v>
      </c>
      <c r="E25" s="41">
        <f t="shared" si="15"/>
        <v>20065.842076092104</v>
      </c>
      <c r="F25" s="41">
        <f t="shared" si="15"/>
        <v>20065.842076092104</v>
      </c>
      <c r="G25" s="41">
        <f t="shared" si="15"/>
        <v>24861.390528551237</v>
      </c>
      <c r="H25" s="41">
        <f t="shared" si="15"/>
        <v>24861.390528551237</v>
      </c>
      <c r="I25" s="41">
        <f t="shared" si="15"/>
        <v>24861.390528551237</v>
      </c>
      <c r="J25" s="41">
        <f t="shared" si="15"/>
        <v>24861.390528551237</v>
      </c>
      <c r="K25" s="41">
        <f t="shared" si="15"/>
        <v>24861.390528551237</v>
      </c>
      <c r="L25" s="41">
        <f t="shared" si="15"/>
        <v>24861.390528551237</v>
      </c>
      <c r="M25" s="41">
        <f t="shared" si="15"/>
        <v>24861.390528551237</v>
      </c>
      <c r="N25" s="41">
        <f t="shared" si="15"/>
        <v>24861.390528551237</v>
      </c>
      <c r="O25" s="41">
        <f t="shared" si="15"/>
        <v>24861.390528551237</v>
      </c>
      <c r="P25" s="41">
        <f t="shared" si="15"/>
        <v>24861.390528551237</v>
      </c>
      <c r="Q25" s="41">
        <f t="shared" si="15"/>
        <v>24861.390528551237</v>
      </c>
      <c r="R25" s="41">
        <f t="shared" si="15"/>
        <v>24861.390528551237</v>
      </c>
      <c r="S25" s="41">
        <f t="shared" si="15"/>
        <v>24861.390528551237</v>
      </c>
      <c r="T25" s="41">
        <f t="shared" si="15"/>
        <v>24861.390528551237</v>
      </c>
      <c r="U25" s="41">
        <f t="shared" si="15"/>
        <v>24861.390528551237</v>
      </c>
      <c r="V25" s="41">
        <f aca="true" t="shared" si="16" ref="V25:AE25">IF(V17&gt;($O$10+$B$10),0,IF(V17&lt;($O$10+$D$10+1),$E$10*$C$10,$E$10/(1-(1+$C$10)^-($B$10-$D$10))*$C$10))+IF(V17&gt;($O$10+$B$11),0,IF(V17&lt;($O$10+$D$11+1),$E$11*$C$11,$E$11/(1-(1+$C$11)^-($B$11-$D$11))*$C$11))</f>
        <v>18865.842076092104</v>
      </c>
      <c r="W25" s="41">
        <f t="shared" si="16"/>
        <v>18865.842076092104</v>
      </c>
      <c r="X25" s="41">
        <f t="shared" si="16"/>
        <v>18865.842076092104</v>
      </c>
      <c r="Y25" s="41">
        <f t="shared" si="16"/>
        <v>18865.842076092104</v>
      </c>
      <c r="Z25" s="41">
        <f t="shared" si="16"/>
        <v>18865.842076092104</v>
      </c>
      <c r="AA25" s="41">
        <f t="shared" si="16"/>
        <v>18865.842076092104</v>
      </c>
      <c r="AB25" s="41">
        <f t="shared" si="16"/>
        <v>18865.842076092104</v>
      </c>
      <c r="AC25" s="41">
        <f t="shared" si="16"/>
        <v>18865.842076092104</v>
      </c>
      <c r="AD25" s="41">
        <f t="shared" si="16"/>
        <v>18865.842076092104</v>
      </c>
      <c r="AE25" s="41">
        <f t="shared" si="16"/>
        <v>18865.842076092104</v>
      </c>
    </row>
    <row r="26" spans="1:31" s="6" customFormat="1" ht="18.75" customHeight="1">
      <c r="A26" s="6" t="s">
        <v>16</v>
      </c>
      <c r="B26" s="16">
        <f>$O$11*$U$9</f>
        <v>4200</v>
      </c>
      <c r="C26" s="16">
        <f aca="true" t="shared" si="17" ref="C26:O26">B26*(1+$J$10)</f>
        <v>4252.5</v>
      </c>
      <c r="D26" s="16">
        <f t="shared" si="17"/>
        <v>4305.65625</v>
      </c>
      <c r="E26" s="16">
        <f t="shared" si="17"/>
        <v>4359.476953124999</v>
      </c>
      <c r="F26" s="16">
        <f t="shared" si="17"/>
        <v>4413.970415039062</v>
      </c>
      <c r="G26" s="16">
        <f t="shared" si="17"/>
        <v>4469.14504522705</v>
      </c>
      <c r="H26" s="16">
        <f t="shared" si="17"/>
        <v>4525.009358292388</v>
      </c>
      <c r="I26" s="16">
        <f t="shared" si="17"/>
        <v>4581.571975271043</v>
      </c>
      <c r="J26" s="16">
        <f t="shared" si="17"/>
        <v>4638.84162496193</v>
      </c>
      <c r="K26" s="16">
        <f t="shared" si="17"/>
        <v>4696.827145273955</v>
      </c>
      <c r="L26" s="16">
        <f t="shared" si="17"/>
        <v>4755.537484589879</v>
      </c>
      <c r="M26" s="16">
        <f t="shared" si="17"/>
        <v>4814.981703147252</v>
      </c>
      <c r="N26" s="16">
        <f t="shared" si="17"/>
        <v>4875.168974436592</v>
      </c>
      <c r="O26" s="16">
        <f t="shared" si="17"/>
        <v>4936.10858661705</v>
      </c>
      <c r="P26" s="16">
        <f aca="true" t="shared" si="18" ref="P26:U26">O26*(1+$J$10)</f>
        <v>4997.809943949763</v>
      </c>
      <c r="Q26" s="16">
        <f t="shared" si="18"/>
        <v>5060.282568249135</v>
      </c>
      <c r="R26" s="16">
        <f t="shared" si="18"/>
        <v>5123.5361003522485</v>
      </c>
      <c r="S26" s="16">
        <f t="shared" si="18"/>
        <v>5187.580301606651</v>
      </c>
      <c r="T26" s="16">
        <f t="shared" si="18"/>
        <v>5252.425055376734</v>
      </c>
      <c r="U26" s="16">
        <f t="shared" si="18"/>
        <v>5318.080368568943</v>
      </c>
      <c r="V26" s="16">
        <f aca="true" t="shared" si="19" ref="V26:AE26">U26*(1+$J$10)</f>
        <v>5384.556373176055</v>
      </c>
      <c r="W26" s="16">
        <f t="shared" si="19"/>
        <v>5451.863327840755</v>
      </c>
      <c r="X26" s="16">
        <f t="shared" si="19"/>
        <v>5520.011619438765</v>
      </c>
      <c r="Y26" s="16">
        <f t="shared" si="19"/>
        <v>5589.011764681749</v>
      </c>
      <c r="Z26" s="16">
        <f t="shared" si="19"/>
        <v>5658.87441174027</v>
      </c>
      <c r="AA26" s="16">
        <f t="shared" si="19"/>
        <v>5729.610341887023</v>
      </c>
      <c r="AB26" s="16">
        <f t="shared" si="19"/>
        <v>5801.230471160611</v>
      </c>
      <c r="AC26" s="16">
        <f t="shared" si="19"/>
        <v>5873.745852050119</v>
      </c>
      <c r="AD26" s="16">
        <f t="shared" si="19"/>
        <v>5947.167675200745</v>
      </c>
      <c r="AE26" s="16">
        <f t="shared" si="19"/>
        <v>6021.507271140754</v>
      </c>
    </row>
    <row r="27" spans="1:31" s="6" customFormat="1" ht="18.75" customHeight="1">
      <c r="A27" s="6" t="s">
        <v>17</v>
      </c>
      <c r="B27" s="16">
        <f>$O$11*$U$14</f>
        <v>3396</v>
      </c>
      <c r="C27" s="16">
        <f aca="true" t="shared" si="20" ref="C27:V27">B27*(1+$J$9)</f>
        <v>3438.45</v>
      </c>
      <c r="D27" s="16">
        <f t="shared" si="20"/>
        <v>3481.4306249999995</v>
      </c>
      <c r="E27" s="16">
        <f t="shared" si="20"/>
        <v>3524.9485078124994</v>
      </c>
      <c r="F27" s="16">
        <f t="shared" si="20"/>
        <v>3569.0103641601554</v>
      </c>
      <c r="G27" s="16">
        <f t="shared" si="20"/>
        <v>3613.622993712157</v>
      </c>
      <c r="H27" s="16">
        <f t="shared" si="20"/>
        <v>3658.793281133559</v>
      </c>
      <c r="I27" s="16">
        <f t="shared" si="20"/>
        <v>3704.5281971477284</v>
      </c>
      <c r="J27" s="16">
        <f t="shared" si="20"/>
        <v>3750.8347996120747</v>
      </c>
      <c r="K27" s="16">
        <f t="shared" si="20"/>
        <v>3797.7202346072254</v>
      </c>
      <c r="L27" s="16">
        <f t="shared" si="20"/>
        <v>3845.1917375398157</v>
      </c>
      <c r="M27" s="16">
        <f t="shared" si="20"/>
        <v>3893.256634259063</v>
      </c>
      <c r="N27" s="16">
        <f t="shared" si="20"/>
        <v>3941.922342187301</v>
      </c>
      <c r="O27" s="16">
        <f t="shared" si="20"/>
        <v>3991.196371464642</v>
      </c>
      <c r="P27" s="16">
        <f t="shared" si="20"/>
        <v>4041.08632610795</v>
      </c>
      <c r="Q27" s="16">
        <f t="shared" si="20"/>
        <v>4091.599905184299</v>
      </c>
      <c r="R27" s="16">
        <f t="shared" si="20"/>
        <v>4142.7449039991025</v>
      </c>
      <c r="S27" s="16">
        <f t="shared" si="20"/>
        <v>4194.529215299091</v>
      </c>
      <c r="T27" s="16">
        <f t="shared" si="20"/>
        <v>4246.9608304903295</v>
      </c>
      <c r="U27" s="16">
        <f t="shared" si="20"/>
        <v>4300.047840871458</v>
      </c>
      <c r="V27" s="16">
        <f t="shared" si="20"/>
        <v>4353.798438882351</v>
      </c>
      <c r="W27" s="16">
        <f aca="true" t="shared" si="21" ref="W27:AE27">V27*(1+$J$9)</f>
        <v>4408.22091936838</v>
      </c>
      <c r="X27" s="16">
        <f t="shared" si="21"/>
        <v>4463.323680860485</v>
      </c>
      <c r="Y27" s="16">
        <f t="shared" si="21"/>
        <v>4519.115226871241</v>
      </c>
      <c r="Z27" s="16">
        <f t="shared" si="21"/>
        <v>4575.6041672071315</v>
      </c>
      <c r="AA27" s="16">
        <f t="shared" si="21"/>
        <v>4632.799219297221</v>
      </c>
      <c r="AB27" s="16">
        <f t="shared" si="21"/>
        <v>4690.709209538436</v>
      </c>
      <c r="AC27" s="16">
        <f t="shared" si="21"/>
        <v>4749.343074657666</v>
      </c>
      <c r="AD27" s="16">
        <f t="shared" si="21"/>
        <v>4808.709863090887</v>
      </c>
      <c r="AE27" s="16">
        <f t="shared" si="21"/>
        <v>4868.818736379522</v>
      </c>
    </row>
    <row r="28" spans="1:31" s="6" customFormat="1" ht="18.75" customHeight="1">
      <c r="A28" s="6" t="s">
        <v>18</v>
      </c>
      <c r="B28" s="16">
        <f aca="true" t="shared" si="22" ref="B28:P28">IF(OR(B17&gt;=$U$13),($O$11*$U$10)*(1+$J$11)^(B17-$B$17),0)</f>
        <v>0</v>
      </c>
      <c r="C28" s="16">
        <f t="shared" si="22"/>
        <v>0</v>
      </c>
      <c r="D28" s="16">
        <f t="shared" si="22"/>
        <v>0</v>
      </c>
      <c r="E28" s="16">
        <f t="shared" si="22"/>
        <v>0</v>
      </c>
      <c r="F28" s="16">
        <f t="shared" si="22"/>
        <v>0</v>
      </c>
      <c r="G28" s="16">
        <f t="shared" si="22"/>
        <v>0</v>
      </c>
      <c r="H28" s="16">
        <f t="shared" si="22"/>
        <v>0</v>
      </c>
      <c r="I28" s="16">
        <f t="shared" si="22"/>
        <v>0</v>
      </c>
      <c r="J28" s="16">
        <f t="shared" si="22"/>
        <v>0</v>
      </c>
      <c r="K28" s="16">
        <f t="shared" si="22"/>
        <v>0</v>
      </c>
      <c r="L28" s="16">
        <f t="shared" si="22"/>
        <v>0</v>
      </c>
      <c r="M28" s="16">
        <f t="shared" si="22"/>
        <v>0</v>
      </c>
      <c r="N28" s="16">
        <f t="shared" si="22"/>
        <v>0</v>
      </c>
      <c r="O28" s="16">
        <f t="shared" si="22"/>
        <v>0</v>
      </c>
      <c r="P28" s="16">
        <f t="shared" si="22"/>
        <v>0</v>
      </c>
      <c r="Q28" s="16">
        <f aca="true" t="shared" si="23" ref="Q28:V28">IF(OR(Q17&gt;=$U$13),($O$11*$U$10)*(1+$J$11)^(Q17-$B$17),0)</f>
        <v>5448.357027099328</v>
      </c>
      <c r="R28" s="16">
        <f t="shared" si="23"/>
        <v>5543.703275073568</v>
      </c>
      <c r="S28" s="16">
        <f t="shared" si="23"/>
        <v>5640.718082387356</v>
      </c>
      <c r="T28" s="16">
        <f t="shared" si="23"/>
        <v>5739.430648829135</v>
      </c>
      <c r="U28" s="16">
        <f t="shared" si="23"/>
        <v>5839.870685183645</v>
      </c>
      <c r="V28" s="16">
        <f t="shared" si="23"/>
        <v>5942.0684221743595</v>
      </c>
      <c r="W28" s="16">
        <f aca="true" t="shared" si="24" ref="W28:AE28">IF(OR(W17&gt;=$U$13),($O$11*$U$10)*(1+$J$11)^(W17-$B$17),0)</f>
        <v>6046.054619562411</v>
      </c>
      <c r="X28" s="16">
        <f t="shared" si="24"/>
        <v>6151.860575404753</v>
      </c>
      <c r="Y28" s="16">
        <f t="shared" si="24"/>
        <v>6259.518135474336</v>
      </c>
      <c r="Z28" s="16">
        <f t="shared" si="24"/>
        <v>6369.059702845139</v>
      </c>
      <c r="AA28" s="16">
        <f t="shared" si="24"/>
        <v>6480.518247644929</v>
      </c>
      <c r="AB28" s="16">
        <f t="shared" si="24"/>
        <v>6593.927316978716</v>
      </c>
      <c r="AC28" s="16">
        <f t="shared" si="24"/>
        <v>6709.321045025843</v>
      </c>
      <c r="AD28" s="16">
        <f t="shared" si="24"/>
        <v>6826.734163313797</v>
      </c>
      <c r="AE28" s="16">
        <f t="shared" si="24"/>
        <v>6946.202011171788</v>
      </c>
    </row>
    <row r="29" spans="1:31" s="6" customFormat="1" ht="18.75" customHeight="1">
      <c r="A29" s="6" t="s">
        <v>19</v>
      </c>
      <c r="B29" s="16">
        <f>$O$11*$U$11</f>
        <v>7200</v>
      </c>
      <c r="C29" s="16">
        <f aca="true" t="shared" si="25" ref="C29:O29">B29*(1+$J$10)</f>
        <v>7290</v>
      </c>
      <c r="D29" s="16">
        <f t="shared" si="25"/>
        <v>7381.125</v>
      </c>
      <c r="E29" s="16">
        <f t="shared" si="25"/>
        <v>7473.389062499999</v>
      </c>
      <c r="F29" s="16">
        <f t="shared" si="25"/>
        <v>7566.806425781249</v>
      </c>
      <c r="G29" s="16">
        <f t="shared" si="25"/>
        <v>7661.391506103515</v>
      </c>
      <c r="H29" s="16">
        <f t="shared" si="25"/>
        <v>7757.158899929808</v>
      </c>
      <c r="I29" s="16">
        <f t="shared" si="25"/>
        <v>7854.123386178931</v>
      </c>
      <c r="J29" s="16">
        <f t="shared" si="25"/>
        <v>7952.299928506167</v>
      </c>
      <c r="K29" s="16">
        <f t="shared" si="25"/>
        <v>8051.703677612493</v>
      </c>
      <c r="L29" s="16">
        <f t="shared" si="25"/>
        <v>8152.349973582649</v>
      </c>
      <c r="M29" s="16">
        <f t="shared" si="25"/>
        <v>8254.254348252432</v>
      </c>
      <c r="N29" s="16">
        <f t="shared" si="25"/>
        <v>8357.432527605588</v>
      </c>
      <c r="O29" s="16">
        <f t="shared" si="25"/>
        <v>8461.900434200657</v>
      </c>
      <c r="P29" s="16">
        <f aca="true" t="shared" si="26" ref="P29:U29">O29*(1+$J$10)</f>
        <v>8567.674189628166</v>
      </c>
      <c r="Q29" s="16">
        <f t="shared" si="26"/>
        <v>8674.770116998518</v>
      </c>
      <c r="R29" s="16">
        <f t="shared" si="26"/>
        <v>8783.204743461</v>
      </c>
      <c r="S29" s="16">
        <f t="shared" si="26"/>
        <v>8892.994802754261</v>
      </c>
      <c r="T29" s="16">
        <f t="shared" si="26"/>
        <v>9004.15723778869</v>
      </c>
      <c r="U29" s="16">
        <f t="shared" si="26"/>
        <v>9116.709203261047</v>
      </c>
      <c r="V29" s="16">
        <f aca="true" t="shared" si="27" ref="V29:AE29">U29*(1+$J$10)</f>
        <v>9230.66806830181</v>
      </c>
      <c r="W29" s="16">
        <f t="shared" si="27"/>
        <v>9346.051419155581</v>
      </c>
      <c r="X29" s="16">
        <f t="shared" si="27"/>
        <v>9462.877061895026</v>
      </c>
      <c r="Y29" s="16">
        <f t="shared" si="27"/>
        <v>9581.163025168713</v>
      </c>
      <c r="Z29" s="16">
        <f t="shared" si="27"/>
        <v>9700.927562983321</v>
      </c>
      <c r="AA29" s="16">
        <f t="shared" si="27"/>
        <v>9822.189157520612</v>
      </c>
      <c r="AB29" s="16">
        <f t="shared" si="27"/>
        <v>9944.96652198962</v>
      </c>
      <c r="AC29" s="16">
        <f t="shared" si="27"/>
        <v>10069.278603514489</v>
      </c>
      <c r="AD29" s="16">
        <f t="shared" si="27"/>
        <v>10195.144586058419</v>
      </c>
      <c r="AE29" s="16">
        <f t="shared" si="27"/>
        <v>10322.58389338415</v>
      </c>
    </row>
    <row r="30" spans="1:31" s="6" customFormat="1" ht="18.75" customHeight="1">
      <c r="A30" s="36" t="s">
        <v>20</v>
      </c>
      <c r="B30" s="35">
        <f>SUM(B25:B29)</f>
        <v>34861.8420760921</v>
      </c>
      <c r="C30" s="35">
        <f aca="true" t="shared" si="28" ref="C30:V30">SUM(C25:C29)</f>
        <v>35046.792076092104</v>
      </c>
      <c r="D30" s="35">
        <f t="shared" si="28"/>
        <v>35234.05395109211</v>
      </c>
      <c r="E30" s="35">
        <f t="shared" si="28"/>
        <v>35423.656599529604</v>
      </c>
      <c r="F30" s="35">
        <f t="shared" si="28"/>
        <v>35615.62928107257</v>
      </c>
      <c r="G30" s="35">
        <f t="shared" si="28"/>
        <v>40605.550073593964</v>
      </c>
      <c r="H30" s="35">
        <f t="shared" si="28"/>
        <v>40802.35206790699</v>
      </c>
      <c r="I30" s="35">
        <f t="shared" si="28"/>
        <v>41001.61408714894</v>
      </c>
      <c r="J30" s="35">
        <f t="shared" si="28"/>
        <v>41203.36688163141</v>
      </c>
      <c r="K30" s="35">
        <f t="shared" si="28"/>
        <v>41407.64158604491</v>
      </c>
      <c r="L30" s="35">
        <f t="shared" si="28"/>
        <v>41614.46972426358</v>
      </c>
      <c r="M30" s="35">
        <f t="shared" si="28"/>
        <v>41823.883214209985</v>
      </c>
      <c r="N30" s="35">
        <f t="shared" si="28"/>
        <v>42035.914372780724</v>
      </c>
      <c r="O30" s="35">
        <f t="shared" si="28"/>
        <v>42250.59592083359</v>
      </c>
      <c r="P30" s="35">
        <f t="shared" si="28"/>
        <v>42467.960988237115</v>
      </c>
      <c r="Q30" s="35">
        <f t="shared" si="28"/>
        <v>48136.40014608252</v>
      </c>
      <c r="R30" s="35">
        <f t="shared" si="28"/>
        <v>48454.57955143716</v>
      </c>
      <c r="S30" s="35">
        <f t="shared" si="28"/>
        <v>48777.2129305986</v>
      </c>
      <c r="T30" s="35">
        <f t="shared" si="28"/>
        <v>49104.36430103613</v>
      </c>
      <c r="U30" s="35">
        <f t="shared" si="28"/>
        <v>49436.09862643633</v>
      </c>
      <c r="V30" s="35">
        <f t="shared" si="28"/>
        <v>43776.93337862668</v>
      </c>
      <c r="W30" s="35">
        <f aca="true" t="shared" si="29" ref="W30:AE30">SUM(W25:W29)</f>
        <v>44118.032362019236</v>
      </c>
      <c r="X30" s="35">
        <f t="shared" si="29"/>
        <v>44463.915013691134</v>
      </c>
      <c r="Y30" s="35">
        <f t="shared" si="29"/>
        <v>44814.65022828814</v>
      </c>
      <c r="Z30" s="35">
        <f t="shared" si="29"/>
        <v>45170.30792086796</v>
      </c>
      <c r="AA30" s="35">
        <f t="shared" si="29"/>
        <v>45530.959042441886</v>
      </c>
      <c r="AB30" s="35">
        <f t="shared" si="29"/>
        <v>45896.67559575949</v>
      </c>
      <c r="AC30" s="35">
        <f t="shared" si="29"/>
        <v>46267.530651340225</v>
      </c>
      <c r="AD30" s="35">
        <f t="shared" si="29"/>
        <v>46643.598363755955</v>
      </c>
      <c r="AE30" s="35">
        <f t="shared" si="29"/>
        <v>47024.953988168316</v>
      </c>
    </row>
    <row r="31" spans="1:31" s="6" customFormat="1" ht="18.75" customHeight="1">
      <c r="A31" s="36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6" customFormat="1" ht="18.75" customHeight="1">
      <c r="A32" s="36" t="s">
        <v>37</v>
      </c>
      <c r="B32" s="35">
        <f>(B23-B30)/2*$U$12</f>
        <v>-34.208596936036024</v>
      </c>
      <c r="C32" s="35">
        <f aca="true" t="shared" si="30" ref="C32:V32">(B35+((C23-C30)/2))*$U$12</f>
        <v>-101.00133265891895</v>
      </c>
      <c r="D32" s="35">
        <f t="shared" si="30"/>
        <v>-164.47867488031378</v>
      </c>
      <c r="E32" s="35">
        <f t="shared" si="30"/>
        <v>-224.50579937074627</v>
      </c>
      <c r="F32" s="35">
        <f t="shared" si="30"/>
        <v>-280.9440955071327</v>
      </c>
      <c r="G32" s="35">
        <f t="shared" si="30"/>
        <v>-387.600991758484</v>
      </c>
      <c r="H32" s="35">
        <f t="shared" si="30"/>
        <v>-545.5438918569084</v>
      </c>
      <c r="I32" s="35">
        <f t="shared" si="30"/>
        <v>-701.9135145936908</v>
      </c>
      <c r="J32" s="35">
        <f t="shared" si="30"/>
        <v>-856.6103738205205</v>
      </c>
      <c r="K32" s="35">
        <f t="shared" si="30"/>
        <v>-1009.5319438581549</v>
      </c>
      <c r="L32" s="35">
        <f t="shared" si="30"/>
        <v>-1160.5725810933147</v>
      </c>
      <c r="M32" s="35">
        <f t="shared" si="30"/>
        <v>-1309.6234436863394</v>
      </c>
      <c r="N32" s="35">
        <f t="shared" si="30"/>
        <v>-1456.572409345533</v>
      </c>
      <c r="O32" s="35">
        <f t="shared" si="30"/>
        <v>-1601.3039911231065</v>
      </c>
      <c r="P32" s="35">
        <f t="shared" si="30"/>
        <v>-1743.6992511866113</v>
      </c>
      <c r="Q32" s="35">
        <f t="shared" si="30"/>
        <v>-1944.9297290735476</v>
      </c>
      <c r="R32" s="35">
        <f t="shared" si="30"/>
        <v>-2207.321078823618</v>
      </c>
      <c r="S32" s="35">
        <f t="shared" si="30"/>
        <v>-2471.975151634481</v>
      </c>
      <c r="T32" s="35">
        <f t="shared" si="30"/>
        <v>-2738.908165555507</v>
      </c>
      <c r="U32" s="35">
        <f t="shared" si="30"/>
        <v>-3008.136459232348</v>
      </c>
      <c r="V32" s="35">
        <f t="shared" si="30"/>
        <v>-3212.2265747900333</v>
      </c>
      <c r="W32" s="35">
        <f aca="true" t="shared" si="31" ref="W32:AE32">(V35+((W23-W30)/2))*$U$12</f>
        <v>-3349.677477912675</v>
      </c>
      <c r="X32" s="35">
        <f t="shared" si="31"/>
        <v>-3486.404037757645</v>
      </c>
      <c r="Y32" s="35">
        <f t="shared" si="31"/>
        <v>-3622.3540450523433</v>
      </c>
      <c r="Z32" s="35">
        <f t="shared" si="31"/>
        <v>-3757.473873435322</v>
      </c>
      <c r="AA32" s="35">
        <f t="shared" si="31"/>
        <v>-3891.7084481560382</v>
      </c>
      <c r="AB32" s="35">
        <f t="shared" si="31"/>
        <v>-4025.0012141408906</v>
      </c>
      <c r="AC32" s="35">
        <f t="shared" si="31"/>
        <v>-4157.294103413279</v>
      </c>
      <c r="AD32" s="35">
        <f t="shared" si="31"/>
        <v>-4288.527501855185</v>
      </c>
      <c r="AE32" s="35">
        <f t="shared" si="31"/>
        <v>-4418.640215297541</v>
      </c>
    </row>
    <row r="33" s="6" customFormat="1" ht="18.75" customHeight="1"/>
    <row r="34" spans="1:31" s="36" customFormat="1" ht="18.75" customHeight="1">
      <c r="A34" s="36" t="s">
        <v>24</v>
      </c>
      <c r="B34" s="43">
        <f>B23-B30+B32</f>
        <v>-3074.972769028127</v>
      </c>
      <c r="C34" s="43">
        <f aca="true" t="shared" si="32" ref="C34:U34">C23-C30+C32</f>
        <v>-2928.9520309510162</v>
      </c>
      <c r="D34" s="43">
        <f t="shared" si="32"/>
        <v>-2776.955730949919</v>
      </c>
      <c r="E34" s="43">
        <f t="shared" si="32"/>
        <v>-2618.815792690069</v>
      </c>
      <c r="F34" s="43">
        <f t="shared" si="32"/>
        <v>-2454.3599377917776</v>
      </c>
      <c r="G34" s="43">
        <f t="shared" si="32"/>
        <v>-7132.909958579682</v>
      </c>
      <c r="H34" s="43">
        <f t="shared" si="32"/>
        <v>-7064.401839156479</v>
      </c>
      <c r="I34" s="43">
        <f t="shared" si="32"/>
        <v>-6991.489804627623</v>
      </c>
      <c r="J34" s="43">
        <f t="shared" si="32"/>
        <v>-6914.038985872976</v>
      </c>
      <c r="K34" s="43">
        <f t="shared" si="32"/>
        <v>-6831.911031954381</v>
      </c>
      <c r="L34" s="43">
        <f t="shared" si="32"/>
        <v>-6744.96402618385</v>
      </c>
      <c r="M34" s="43">
        <f t="shared" si="32"/>
        <v>-6653.052400233619</v>
      </c>
      <c r="N34" s="43">
        <f t="shared" si="32"/>
        <v>-6556.026846242775</v>
      </c>
      <c r="O34" s="43">
        <f t="shared" si="32"/>
        <v>-6453.7342268746615</v>
      </c>
      <c r="P34" s="43">
        <f t="shared" si="32"/>
        <v>-6346.0174832781695</v>
      </c>
      <c r="Q34" s="43">
        <f t="shared" si="32"/>
        <v>-11742.366584558695</v>
      </c>
      <c r="R34" s="43">
        <f t="shared" si="32"/>
        <v>-11843.700298530937</v>
      </c>
      <c r="S34" s="43">
        <f t="shared" si="32"/>
        <v>-11945.760246356625</v>
      </c>
      <c r="T34" s="43">
        <f t="shared" si="32"/>
        <v>-12048.55178276673</v>
      </c>
      <c r="U34" s="43">
        <f t="shared" si="32"/>
        <v>-12152.080393295957</v>
      </c>
      <c r="V34" s="43">
        <f aca="true" t="shared" si="33" ref="V34:AE34">V23-V30+V32</f>
        <v>-6193.353327389343</v>
      </c>
      <c r="W34" s="43">
        <f t="shared" si="33"/>
        <v>-6161.955631079192</v>
      </c>
      <c r="X34" s="43">
        <f t="shared" si="33"/>
        <v>-6128.242914985413</v>
      </c>
      <c r="Y34" s="43">
        <f t="shared" si="33"/>
        <v>-6092.152185171326</v>
      </c>
      <c r="Z34" s="43">
        <f t="shared" si="33"/>
        <v>-6053.619055032015</v>
      </c>
      <c r="AA34" s="43">
        <f t="shared" si="33"/>
        <v>-6012.577717085762</v>
      </c>
      <c r="AB34" s="43">
        <f t="shared" si="33"/>
        <v>-5968.96091421931</v>
      </c>
      <c r="AC34" s="43">
        <f t="shared" si="33"/>
        <v>-5922.6999103764365</v>
      </c>
      <c r="AD34" s="43">
        <f t="shared" si="33"/>
        <v>-5873.724460679347</v>
      </c>
      <c r="AE34" s="43">
        <f t="shared" si="33"/>
        <v>-5821.962780972432</v>
      </c>
    </row>
    <row r="35" spans="1:31" s="36" customFormat="1" ht="18.75" customHeight="1">
      <c r="A35" s="36" t="s">
        <v>38</v>
      </c>
      <c r="B35" s="35">
        <f>B34</f>
        <v>-3074.972769028127</v>
      </c>
      <c r="C35" s="35">
        <f>B35+C34</f>
        <v>-6003.924799979143</v>
      </c>
      <c r="D35" s="35">
        <f>C35+D34</f>
        <v>-8780.880530929062</v>
      </c>
      <c r="E35" s="35">
        <f aca="true" t="shared" si="34" ref="E35:V35">D35+E34</f>
        <v>-11399.696323619131</v>
      </c>
      <c r="F35" s="35">
        <f t="shared" si="34"/>
        <v>-13854.05626141091</v>
      </c>
      <c r="G35" s="35">
        <f t="shared" si="34"/>
        <v>-20986.96621999059</v>
      </c>
      <c r="H35" s="35">
        <f t="shared" si="34"/>
        <v>-28051.36805914707</v>
      </c>
      <c r="I35" s="35">
        <f t="shared" si="34"/>
        <v>-35042.85786377469</v>
      </c>
      <c r="J35" s="35">
        <f>I35+J34</f>
        <v>-41956.89684964767</v>
      </c>
      <c r="K35" s="35">
        <f t="shared" si="34"/>
        <v>-48788.80788160205</v>
      </c>
      <c r="L35" s="35">
        <f t="shared" si="34"/>
        <v>-55533.7719077859</v>
      </c>
      <c r="M35" s="35">
        <f t="shared" si="34"/>
        <v>-62186.82430801952</v>
      </c>
      <c r="N35" s="35">
        <f t="shared" si="34"/>
        <v>-68742.85115426229</v>
      </c>
      <c r="O35" s="35">
        <f t="shared" si="34"/>
        <v>-75196.58538113695</v>
      </c>
      <c r="P35" s="35">
        <f>O35+P34</f>
        <v>-81542.60286441511</v>
      </c>
      <c r="Q35" s="35">
        <f t="shared" si="34"/>
        <v>-93284.9694489738</v>
      </c>
      <c r="R35" s="35">
        <f t="shared" si="34"/>
        <v>-105128.66974750474</v>
      </c>
      <c r="S35" s="35">
        <f t="shared" si="34"/>
        <v>-117074.42999386137</v>
      </c>
      <c r="T35" s="35">
        <f t="shared" si="34"/>
        <v>-129122.9817766281</v>
      </c>
      <c r="U35" s="35">
        <f t="shared" si="34"/>
        <v>-141275.06216992406</v>
      </c>
      <c r="V35" s="35">
        <f t="shared" si="34"/>
        <v>-147468.4154973134</v>
      </c>
      <c r="W35" s="35">
        <f aca="true" t="shared" si="35" ref="W35:AE35">V35+W34</f>
        <v>-153630.37112839258</v>
      </c>
      <c r="X35" s="35">
        <f t="shared" si="35"/>
        <v>-159758.61404337798</v>
      </c>
      <c r="Y35" s="35">
        <f t="shared" si="35"/>
        <v>-165850.7662285493</v>
      </c>
      <c r="Z35" s="35">
        <f t="shared" si="35"/>
        <v>-171904.3852835813</v>
      </c>
      <c r="AA35" s="35">
        <f t="shared" si="35"/>
        <v>-177916.96300066705</v>
      </c>
      <c r="AB35" s="35">
        <f t="shared" si="35"/>
        <v>-183885.92391488637</v>
      </c>
      <c r="AC35" s="35">
        <f t="shared" si="35"/>
        <v>-189808.6238252628</v>
      </c>
      <c r="AD35" s="35">
        <f t="shared" si="35"/>
        <v>-195682.34828594213</v>
      </c>
      <c r="AE35" s="35">
        <f t="shared" si="35"/>
        <v>-201504.31106691455</v>
      </c>
    </row>
    <row r="36" spans="2:31" s="36" customFormat="1" ht="18.75" customHeight="1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2:31" s="36" customFormat="1" ht="18.7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9" spans="1:6" ht="12">
      <c r="A39" s="44" t="s">
        <v>42</v>
      </c>
      <c r="B39" s="61" t="s">
        <v>21</v>
      </c>
      <c r="C39" s="61"/>
      <c r="D39" s="61"/>
      <c r="E39" s="6" t="s">
        <v>22</v>
      </c>
      <c r="F39" s="6"/>
    </row>
    <row r="40" spans="1:6" ht="12">
      <c r="A40" s="44" t="s">
        <v>54</v>
      </c>
      <c r="B40" s="6" t="s">
        <v>55</v>
      </c>
      <c r="C40" s="6"/>
      <c r="D40" s="6"/>
      <c r="E40" s="6"/>
      <c r="F40" s="6"/>
    </row>
    <row r="41" spans="1:6" ht="12">
      <c r="A41" s="44"/>
      <c r="B41" s="6"/>
      <c r="C41" s="6"/>
      <c r="D41" s="6"/>
      <c r="E41" s="6"/>
      <c r="F41" s="6"/>
    </row>
    <row r="44" spans="1:21" ht="1.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1:21" ht="12.75">
      <c r="A45" s="67" t="s">
        <v>58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.75">
      <c r="A46" s="67" t="s">
        <v>57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</sheetData>
  <sheetProtection password="DC8B" sheet="1" objects="1" scenarios="1" formatColumns="0"/>
  <mergeCells count="4">
    <mergeCell ref="A2:I2"/>
    <mergeCell ref="A45:U45"/>
    <mergeCell ref="A46:U46"/>
    <mergeCell ref="W8:X8"/>
  </mergeCells>
  <printOptions horizontalCentered="1"/>
  <pageMargins left="0.1968503937007874" right="0.1968503937007874" top="0.5905511811023623" bottom="0.1968503937007874" header="0.3937007874015748" footer="0"/>
  <pageSetup fitToHeight="1" fitToWidth="1" orientation="landscape" paperSize="9" scale="70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Inventaires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Giami</dc:creator>
  <cp:keywords/>
  <dc:description/>
  <cp:lastModifiedBy> </cp:lastModifiedBy>
  <cp:lastPrinted>2004-04-14T12:52:14Z</cp:lastPrinted>
  <dcterms:created xsi:type="dcterms:W3CDTF">2002-05-04T16:52:34Z</dcterms:created>
  <dcterms:modified xsi:type="dcterms:W3CDTF">2004-04-17T15:35:56Z</dcterms:modified>
  <cp:category/>
  <cp:version/>
  <cp:contentType/>
  <cp:contentStatus/>
</cp:coreProperties>
</file>